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<sst xmlns="http://schemas.openxmlformats.org/spreadsheetml/2006/main" count="55" uniqueCount="55">
  <si>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CASA DE ASIGURARI DE SANATATE OLT</t>
  </si>
  <si>
    <t>ANEXA</t>
  </si>
  <si>
    <t>SITUATIA</t>
  </si>
  <si>
    <t>Nr. crt.</t>
  </si>
  <si>
    <t>Luna/an</t>
  </si>
  <si>
    <t>P3 - ONCOLOGIE / CREDITE DE ANGAJAMENT REPARTIZATE</t>
  </si>
  <si>
    <t>P5 - DIABET (medicamente)/ C.A. REPARTIZATE</t>
  </si>
  <si>
    <t>P5 - DIABET TESTE ADULŢI/ CA REPARTIZATE</t>
  </si>
  <si>
    <t>P5 - DIABET TESTE COPII/ CA REPARTIZATE</t>
  </si>
  <si>
    <t>P5 - TOTAL TESTE/ CA REPARTIZATE</t>
  </si>
  <si>
    <t>P6.4 - MUCOV. COPII/ CA REPARTIZATE</t>
  </si>
  <si>
    <t>P6.5 - SCLEROZĂ LATERALĂ/ CA REPARTIZATE</t>
  </si>
  <si>
    <t>P9 - STARE POSTTRANSPLANT/ CA REPARTIZATE</t>
  </si>
  <si>
    <t xml:space="preserve">TOTAL PNS 2015/ CA REPARTIZATE </t>
  </si>
  <si>
    <t>6=4+5</t>
  </si>
  <si>
    <t>10=2+...+9-6</t>
  </si>
  <si>
    <t>Credite angajament aprobate 2015, din care:</t>
  </si>
  <si>
    <t>5=2+3+4</t>
  </si>
  <si>
    <t xml:space="preserve">iunie 2015 </t>
  </si>
  <si>
    <t>9=6+7+8</t>
  </si>
  <si>
    <t>Trim. II 2015</t>
  </si>
  <si>
    <t>10=5+9</t>
  </si>
  <si>
    <t>Total sem. I 2015</t>
  </si>
  <si>
    <t xml:space="preserve">iulie 2015 </t>
  </si>
  <si>
    <t>august 2015</t>
  </si>
  <si>
    <t xml:space="preserve">septembrie 2015 </t>
  </si>
  <si>
    <t>14=11+ 12+13</t>
  </si>
  <si>
    <t>Total trim. III 2015</t>
  </si>
  <si>
    <t>15= 10+14</t>
  </si>
  <si>
    <t>TOTAL 9 luni 2015</t>
  </si>
  <si>
    <t xml:space="preserve">octombrie 2015 </t>
  </si>
  <si>
    <t>noiembrie 2015</t>
  </si>
  <si>
    <t>decembrie 2015</t>
  </si>
  <si>
    <t>19=16+17+18</t>
  </si>
  <si>
    <t>Total trim. IV 2015</t>
  </si>
  <si>
    <t>TOTAL AN 2015</t>
  </si>
  <si>
    <t>21=1-20</t>
  </si>
  <si>
    <t>Consum mediu lunar AN 2014</t>
  </si>
  <si>
    <t>24=20/ nr.luni</t>
  </si>
  <si>
    <t>Consum mediu lunar AN 2015</t>
  </si>
  <si>
    <t>25=24  x 12 luni - 1</t>
  </si>
  <si>
    <t>Necesar suplimentar 2015 stabilit la nivelul consumului mediu lunar/2015</t>
  </si>
  <si>
    <t>26=1+ 25</t>
  </si>
  <si>
    <t>TOTAL CREDITE ANGAJAMENTE NECESARE AN 2015</t>
  </si>
  <si>
    <t>REPARTIZARII TRIMESTRIALE A FONDURILOR PENTRU ELIBERAREA MEDICAMENTELOR SI MATERIALELOR SANITARE IN CADRUL PNS, CA URMARE A VALIDARII CONSUMULUI REALIZAT IN LUNA MAI 2015 IN LIMITA CREDITELOR DE ANGAJAMENT APROBATE PENTRU SEMESTRUL I 2015 CONFORM ADRESEI CNAS NR. P4659/13.05.2015</t>
  </si>
  <si>
    <t>ianuarie 2015 - CONSUM REALIZAT/ VALIDAT</t>
  </si>
  <si>
    <t>februarie 2015 - CONSUM REALIZAT/ VALIDAT</t>
  </si>
  <si>
    <t>martie 2015 - CONSUM VALIDAT in limita credite angajament</t>
  </si>
  <si>
    <t>Trim. I 2015</t>
  </si>
  <si>
    <t>aprilie 2015 - CONSUM REALIZAT/VALIDAT</t>
  </si>
  <si>
    <t>mai 2015 - CONSUM REALIZAT/VALIDAT</t>
  </si>
  <si>
    <t>20=5+6 +7</t>
  </si>
  <si>
    <t>Consum 2015 inregistrat in limita credite angajament - 01.01-31.05.2015</t>
  </si>
  <si>
    <t xml:space="preserve">Credite repartizate si neconsumate la 31.05.2015 </t>
  </si>
  <si>
    <t>Depasire credite de angajament la data de 31.05.2015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</si>
</sst>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horizontal="right" vertical="top"/>
    </xf>
    <xf numFmtId="4" fontId="3" fillId="2" borderId="8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left" vertical="top"/>
    </xf>
    <xf numFmtId="4" fontId="8" fillId="0" borderId="6" xfId="0" applyNumberFormat="1" applyFont="1" applyFill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4" fontId="3" fillId="0" borderId="6" xfId="0" applyNumberFormat="1" applyFont="1" applyFill="1" applyBorder="1" applyAlignment="1">
      <alignment vertical="top"/>
    </xf>
    <xf numFmtId="4" fontId="8" fillId="0" borderId="7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9" xfId="0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left" vertical="top" wrapText="1"/>
    </xf>
    <xf numFmtId="0" fontId="3" fillId="2" borderId="6" xfId="0" applyFont="1" applyFill="1" applyBorder="1" applyAlignment="1">
      <alignment vertical="top"/>
    </xf>
    <xf numFmtId="4" fontId="3" fillId="2" borderId="6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vertical="top" wrapText="1"/>
    </xf>
    <xf numFmtId="4" fontId="3" fillId="2" borderId="7" xfId="0" applyNumberFormat="1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4" fontId="8" fillId="0" borderId="6" xfId="0" applyNumberFormat="1" applyFont="1" applyFill="1" applyBorder="1" applyAlignment="1">
      <alignment vertical="top" wrapText="1"/>
    </xf>
    <xf numFmtId="4" fontId="8" fillId="0" borderId="6" xfId="0" applyNumberFormat="1" applyFont="1" applyBorder="1" applyAlignment="1">
      <alignment vertical="top" wrapText="1"/>
    </xf>
    <xf numFmtId="4" fontId="8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49" fontId="3" fillId="2" borderId="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>
      <alignment/>
    </xf>
    <xf numFmtId="49" fontId="8" fillId="0" borderId="6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0" fontId="3" fillId="2" borderId="10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vertical="top" wrapText="1"/>
    </xf>
    <xf numFmtId="4" fontId="3" fillId="2" borderId="11" xfId="0" applyNumberFormat="1" applyFont="1" applyFill="1" applyBorder="1" applyAlignment="1">
      <alignment vertical="top" wrapText="1"/>
    </xf>
    <xf numFmtId="4" fontId="3" fillId="2" borderId="11" xfId="0" applyNumberFormat="1" applyFont="1" applyFill="1" applyBorder="1" applyAlignment="1">
      <alignment vertical="top"/>
    </xf>
    <xf numFmtId="4" fontId="3" fillId="2" borderId="12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4" fontId="3" fillId="0" borderId="6" xfId="0" applyNumberFormat="1" applyFont="1" applyBorder="1" applyAlignment="1">
      <alignment vertical="top"/>
    </xf>
    <xf numFmtId="4" fontId="8" fillId="0" borderId="0" xfId="0" applyNumberFormat="1" applyFont="1" applyAlignment="1">
      <alignment vertical="top"/>
    </xf>
    <xf numFmtId="0" fontId="8" fillId="0" borderId="6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4" xfId="0" applyNumberFormat="1" applyFont="1" applyBorder="1" applyAlignment="1">
      <alignment vertical="top"/>
    </xf>
    <xf numFmtId="4" fontId="3" fillId="2" borderId="15" xfId="0" applyNumberFormat="1" applyFont="1" applyFill="1" applyBorder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19" applyFont="1" applyAlignment="1">
      <alignment horizontal="left"/>
      <protection/>
    </xf>
    <xf numFmtId="4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top" wrapText="1"/>
    </xf>
    <xf numFmtId="4" fontId="3" fillId="2" borderId="6" xfId="0" applyNumberFormat="1" applyFont="1" applyFill="1" applyBorder="1" applyAlignment="1">
      <alignment vertical="top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4" fontId="9" fillId="0" borderId="6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4" fontId="9" fillId="0" borderId="0" xfId="0" applyNumberFormat="1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ACT2007+6 boli cron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N27" sqref="N27"/>
    </sheetView>
  </sheetViews>
  <sheetFormatPr defaultColWidth="9.140625" defaultRowHeight="12.75"/>
  <cols>
    <col min="1" max="1" width="7.140625" style="5" customWidth="1"/>
    <col min="2" max="2" width="48.28125" style="2" customWidth="1"/>
    <col min="3" max="3" width="16.8515625" style="2" customWidth="1"/>
    <col min="4" max="4" width="14.28125" style="2" customWidth="1"/>
    <col min="5" max="5" width="14.00390625" style="2" customWidth="1"/>
    <col min="6" max="6" width="14.28125" style="2" customWidth="1"/>
    <col min="7" max="7" width="13.140625" style="2" customWidth="1"/>
    <col min="8" max="8" width="13.7109375" style="2" customWidth="1"/>
    <col min="9" max="9" width="14.57421875" style="2" customWidth="1"/>
    <col min="10" max="10" width="15.57421875" style="2" customWidth="1"/>
    <col min="11" max="11" width="15.28125" style="2" customWidth="1"/>
    <col min="12" max="12" width="10.8515625" style="2" bestFit="1" customWidth="1"/>
    <col min="13" max="16384" width="9.140625" style="2" customWidth="1"/>
  </cols>
  <sheetData>
    <row r="1" spans="1:11" ht="15.75">
      <c r="A1" s="1" t="s">
        <v>0</v>
      </c>
      <c r="C1" s="3"/>
      <c r="I1" s="4"/>
      <c r="K1" s="4" t="s">
        <v>1</v>
      </c>
    </row>
    <row r="2" spans="2:11" ht="15.75">
      <c r="B2" s="78" t="s">
        <v>2</v>
      </c>
      <c r="C2" s="78"/>
      <c r="D2" s="78"/>
      <c r="E2" s="78"/>
      <c r="F2" s="78"/>
      <c r="G2" s="78"/>
      <c r="H2" s="78"/>
      <c r="I2" s="78"/>
      <c r="J2" s="78"/>
      <c r="K2" s="78"/>
    </row>
    <row r="3" spans="1:11" s="7" customFormat="1" ht="39.75" customHeight="1">
      <c r="A3" s="6"/>
      <c r="B3" s="79" t="s">
        <v>44</v>
      </c>
      <c r="C3" s="79"/>
      <c r="D3" s="79"/>
      <c r="E3" s="79"/>
      <c r="F3" s="79"/>
      <c r="G3" s="79"/>
      <c r="H3" s="79"/>
      <c r="I3" s="79"/>
      <c r="J3" s="79"/>
      <c r="K3" s="79"/>
    </row>
    <row r="4" ht="6.75" customHeight="1" thickBot="1"/>
    <row r="5" spans="1:11" s="12" customFormat="1" ht="86.2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10" t="s">
        <v>12</v>
      </c>
      <c r="K5" s="11" t="s">
        <v>13</v>
      </c>
    </row>
    <row r="6" spans="1:11" s="17" customFormat="1" ht="12.75">
      <c r="A6" s="13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 t="s">
        <v>14</v>
      </c>
      <c r="H6" s="14">
        <v>7</v>
      </c>
      <c r="I6" s="14">
        <v>8</v>
      </c>
      <c r="J6" s="15">
        <v>9</v>
      </c>
      <c r="K6" s="16" t="s">
        <v>15</v>
      </c>
    </row>
    <row r="7" spans="1:11" s="22" customFormat="1" ht="12.75">
      <c r="A7" s="18">
        <v>1</v>
      </c>
      <c r="B7" s="19" t="s">
        <v>16</v>
      </c>
      <c r="C7" s="20">
        <v>6755000</v>
      </c>
      <c r="D7" s="20">
        <v>9494700</v>
      </c>
      <c r="E7" s="20">
        <v>1134000</v>
      </c>
      <c r="F7" s="20">
        <v>44000</v>
      </c>
      <c r="G7" s="20">
        <f>ROUND(E7+F7,2)</f>
        <v>1178000</v>
      </c>
      <c r="H7" s="20">
        <v>266000</v>
      </c>
      <c r="I7" s="20">
        <v>24000</v>
      </c>
      <c r="J7" s="20">
        <v>940000</v>
      </c>
      <c r="K7" s="21">
        <f>ROUND(C7+D7+E7+F7+H7+I7+J7,2)</f>
        <v>18657700</v>
      </c>
    </row>
    <row r="8" spans="1:11" s="29" customFormat="1" ht="12.75">
      <c r="A8" s="23">
        <v>2</v>
      </c>
      <c r="B8" s="24" t="s">
        <v>45</v>
      </c>
      <c r="C8" s="25">
        <v>815142.51</v>
      </c>
      <c r="D8" s="26">
        <v>1194078.76</v>
      </c>
      <c r="E8" s="26">
        <v>121080</v>
      </c>
      <c r="F8" s="26">
        <v>6240</v>
      </c>
      <c r="G8" s="27">
        <f aca="true" t="shared" si="0" ref="G8:G33">ROUND(E8+F8,2)</f>
        <v>127320</v>
      </c>
      <c r="H8" s="26">
        <v>7386.45</v>
      </c>
      <c r="I8" s="26">
        <v>1999.35</v>
      </c>
      <c r="J8" s="28">
        <v>91145.63</v>
      </c>
      <c r="K8" s="21">
        <f aca="true" t="shared" si="1" ref="K8:K33">ROUND(C8+D8+E8+F8+H8+I8+J8,2)</f>
        <v>2237072.7</v>
      </c>
    </row>
    <row r="9" spans="1:11" s="29" customFormat="1" ht="12.75">
      <c r="A9" s="23">
        <v>3</v>
      </c>
      <c r="B9" s="24" t="s">
        <v>46</v>
      </c>
      <c r="C9" s="25">
        <f>660000-155142.51+189084.25</f>
        <v>693941.74</v>
      </c>
      <c r="D9" s="25">
        <f>900000-294078.76+356246.66</f>
        <v>962167.8999999999</v>
      </c>
      <c r="E9" s="25">
        <f>107000-14080+12806</f>
        <v>105726</v>
      </c>
      <c r="F9" s="25">
        <f>4000-2240+2440</f>
        <v>4200</v>
      </c>
      <c r="G9" s="27">
        <f t="shared" si="0"/>
        <v>109926</v>
      </c>
      <c r="H9" s="25">
        <f>23000+15613.55-830.05</f>
        <v>37783.5</v>
      </c>
      <c r="I9" s="25">
        <f>1333-665.35+1331.7</f>
        <v>1999.35</v>
      </c>
      <c r="J9" s="25">
        <f>94000+2854.37-1394.83</f>
        <v>95459.54</v>
      </c>
      <c r="K9" s="21">
        <f t="shared" si="1"/>
        <v>1901278.03</v>
      </c>
    </row>
    <row r="10" spans="1:11" s="29" customFormat="1" ht="18.75" customHeight="1">
      <c r="A10" s="30">
        <v>4</v>
      </c>
      <c r="B10" s="31" t="s">
        <v>47</v>
      </c>
      <c r="C10" s="25">
        <f>580000-189084.25+459600-97095.35</f>
        <v>753420.4</v>
      </c>
      <c r="D10" s="26">
        <f>853700-356246.66+326300</f>
        <v>823753.3400000001</v>
      </c>
      <c r="E10" s="26">
        <f>107000-12806+20000-6554</f>
        <v>107640</v>
      </c>
      <c r="F10" s="26">
        <f>4000-2440+4000-400</f>
        <v>5160</v>
      </c>
      <c r="G10" s="27">
        <f t="shared" si="0"/>
        <v>112800</v>
      </c>
      <c r="H10" s="26">
        <f>15000+830.05+57000-64792.24</f>
        <v>8037.810000000005</v>
      </c>
      <c r="I10" s="26">
        <f>1333-1331.7+2000-668.4</f>
        <v>1332.9</v>
      </c>
      <c r="J10" s="28">
        <f>94000+1394.83-30578.12</f>
        <v>64816.71000000001</v>
      </c>
      <c r="K10" s="21">
        <f t="shared" si="1"/>
        <v>1764161.16</v>
      </c>
    </row>
    <row r="11" spans="1:11" s="34" customFormat="1" ht="25.5">
      <c r="A11" s="18" t="s">
        <v>17</v>
      </c>
      <c r="B11" s="32" t="s">
        <v>48</v>
      </c>
      <c r="C11" s="33">
        <f>SUM(C8:C10)</f>
        <v>2262504.65</v>
      </c>
      <c r="D11" s="33">
        <f aca="true" t="shared" si="2" ref="D11:J11">SUM(D8:D10)</f>
        <v>2980000</v>
      </c>
      <c r="E11" s="33">
        <f t="shared" si="2"/>
        <v>334446</v>
      </c>
      <c r="F11" s="33">
        <f t="shared" si="2"/>
        <v>15600</v>
      </c>
      <c r="G11" s="33">
        <f t="shared" si="2"/>
        <v>350046</v>
      </c>
      <c r="H11" s="33">
        <f t="shared" si="2"/>
        <v>53207.76</v>
      </c>
      <c r="I11" s="33">
        <f t="shared" si="2"/>
        <v>5331.6</v>
      </c>
      <c r="J11" s="33">
        <f t="shared" si="2"/>
        <v>251421.88</v>
      </c>
      <c r="K11" s="21">
        <f t="shared" si="1"/>
        <v>5902511.89</v>
      </c>
    </row>
    <row r="12" spans="1:11" s="29" customFormat="1" ht="12.75">
      <c r="A12" s="23">
        <v>6</v>
      </c>
      <c r="B12" s="24" t="s">
        <v>49</v>
      </c>
      <c r="C12" s="25">
        <f>870000+97095.35-123222.14</f>
        <v>843873.21</v>
      </c>
      <c r="D12" s="26">
        <f>993758.82+117369.45</f>
        <v>1111128.27</v>
      </c>
      <c r="E12" s="26">
        <f>114000+6554-12878</f>
        <v>107676</v>
      </c>
      <c r="F12" s="26">
        <f>5500+400-500</f>
        <v>5400</v>
      </c>
      <c r="G12" s="27">
        <f t="shared" si="0"/>
        <v>113076</v>
      </c>
      <c r="H12" s="26">
        <f>31000+64792.24-69993.81</f>
        <v>25798.429999999993</v>
      </c>
      <c r="I12" s="26">
        <f>4000+668.4-2002.6</f>
        <v>2665.7999999999997</v>
      </c>
      <c r="J12" s="28">
        <f>95000+30578.12-2925.99</f>
        <v>122652.12999999999</v>
      </c>
      <c r="K12" s="21">
        <f t="shared" si="1"/>
        <v>2219193.84</v>
      </c>
    </row>
    <row r="13" spans="1:11" s="29" customFormat="1" ht="12.75">
      <c r="A13" s="23">
        <v>7</v>
      </c>
      <c r="B13" s="24" t="s">
        <v>50</v>
      </c>
      <c r="C13" s="25">
        <f>870000+123222.14-252164.28</f>
        <v>741057.86</v>
      </c>
      <c r="D13" s="26">
        <f>1000000+729871.73-807085.16</f>
        <v>922786.57</v>
      </c>
      <c r="E13" s="26">
        <f>114000+12878-27833.61</f>
        <v>99044.39</v>
      </c>
      <c r="F13" s="26">
        <f>5300+500-1720</f>
        <v>4080</v>
      </c>
      <c r="G13" s="27">
        <f t="shared" si="0"/>
        <v>103124.39</v>
      </c>
      <c r="H13" s="26">
        <f>23000+69993.81-82331.01</f>
        <v>10662.800000000003</v>
      </c>
      <c r="I13" s="26">
        <f>2000+2002.6-2669.7</f>
        <v>1332.9</v>
      </c>
      <c r="J13" s="28">
        <f>95000+2925.99+6674.52</f>
        <v>104600.51000000001</v>
      </c>
      <c r="K13" s="21">
        <f t="shared" si="1"/>
        <v>1883565.03</v>
      </c>
    </row>
    <row r="14" spans="1:11" s="22" customFormat="1" ht="12.75">
      <c r="A14" s="23">
        <v>8</v>
      </c>
      <c r="B14" s="24" t="s">
        <v>18</v>
      </c>
      <c r="C14" s="25">
        <f>870000+252164.28</f>
        <v>1122164.28</v>
      </c>
      <c r="D14" s="26">
        <f>1000000+807085.16</f>
        <v>1807085.1600000001</v>
      </c>
      <c r="E14" s="26">
        <f>114000+27833.61</f>
        <v>141833.61</v>
      </c>
      <c r="F14" s="26">
        <f>5300+1720</f>
        <v>7020</v>
      </c>
      <c r="G14" s="27">
        <f t="shared" si="0"/>
        <v>148853.61</v>
      </c>
      <c r="H14" s="26">
        <f>23000+82331.01</f>
        <v>105331.01</v>
      </c>
      <c r="I14" s="26">
        <f>2000+2669.7</f>
        <v>4669.7</v>
      </c>
      <c r="J14" s="28">
        <f>95000-6674.52</f>
        <v>88325.48</v>
      </c>
      <c r="K14" s="21">
        <f t="shared" si="1"/>
        <v>3276429.24</v>
      </c>
    </row>
    <row r="15" spans="1:11" s="29" customFormat="1" ht="25.5">
      <c r="A15" s="35" t="s">
        <v>19</v>
      </c>
      <c r="B15" s="32" t="s">
        <v>20</v>
      </c>
      <c r="C15" s="33">
        <f aca="true" t="shared" si="3" ref="C15:J15">SUM(C12:C14)</f>
        <v>2707095.3499999996</v>
      </c>
      <c r="D15" s="36">
        <f t="shared" si="3"/>
        <v>3841000</v>
      </c>
      <c r="E15" s="36">
        <f>SUM(E12:E14)</f>
        <v>348554</v>
      </c>
      <c r="F15" s="36">
        <f t="shared" si="3"/>
        <v>16500</v>
      </c>
      <c r="G15" s="33">
        <f t="shared" si="0"/>
        <v>365054</v>
      </c>
      <c r="H15" s="36">
        <f t="shared" si="3"/>
        <v>141792.24</v>
      </c>
      <c r="I15" s="36">
        <f t="shared" si="3"/>
        <v>8668.4</v>
      </c>
      <c r="J15" s="37">
        <f t="shared" si="3"/>
        <v>315578.12</v>
      </c>
      <c r="K15" s="21">
        <f t="shared" si="1"/>
        <v>7379188.11</v>
      </c>
    </row>
    <row r="16" spans="1:11" s="34" customFormat="1" ht="12.75">
      <c r="A16" s="38" t="s">
        <v>21</v>
      </c>
      <c r="B16" s="39" t="s">
        <v>22</v>
      </c>
      <c r="C16" s="40">
        <f aca="true" t="shared" si="4" ref="C16:J16">C11+C15</f>
        <v>4969600</v>
      </c>
      <c r="D16" s="40">
        <f t="shared" si="4"/>
        <v>6821000</v>
      </c>
      <c r="E16" s="40">
        <f t="shared" si="4"/>
        <v>683000</v>
      </c>
      <c r="F16" s="40">
        <f t="shared" si="4"/>
        <v>32100</v>
      </c>
      <c r="G16" s="40">
        <f t="shared" si="4"/>
        <v>715100</v>
      </c>
      <c r="H16" s="40">
        <f t="shared" si="4"/>
        <v>195000</v>
      </c>
      <c r="I16" s="40">
        <f t="shared" si="4"/>
        <v>14000</v>
      </c>
      <c r="J16" s="40">
        <f t="shared" si="4"/>
        <v>567000</v>
      </c>
      <c r="K16" s="21">
        <f t="shared" si="1"/>
        <v>13281700</v>
      </c>
    </row>
    <row r="17" spans="1:11" s="22" customFormat="1" ht="12.75">
      <c r="A17" s="23">
        <v>11</v>
      </c>
      <c r="B17" s="24" t="s">
        <v>23</v>
      </c>
      <c r="C17" s="25">
        <v>800000</v>
      </c>
      <c r="D17" s="41">
        <v>1000000</v>
      </c>
      <c r="E17" s="26">
        <v>114000</v>
      </c>
      <c r="F17" s="26">
        <v>5300</v>
      </c>
      <c r="G17" s="27">
        <f t="shared" si="0"/>
        <v>119300</v>
      </c>
      <c r="H17" s="42">
        <v>23000</v>
      </c>
      <c r="I17" s="26">
        <v>2000</v>
      </c>
      <c r="J17" s="28">
        <v>95000</v>
      </c>
      <c r="K17" s="21">
        <f t="shared" si="1"/>
        <v>2039300</v>
      </c>
    </row>
    <row r="18" spans="1:11" s="29" customFormat="1" ht="12.75">
      <c r="A18" s="23">
        <v>12</v>
      </c>
      <c r="B18" s="24" t="s">
        <v>24</v>
      </c>
      <c r="C18" s="25">
        <v>800000</v>
      </c>
      <c r="D18" s="26">
        <v>1000000</v>
      </c>
      <c r="E18" s="26">
        <v>114000</v>
      </c>
      <c r="F18" s="26">
        <v>5300</v>
      </c>
      <c r="G18" s="27">
        <f t="shared" si="0"/>
        <v>119300</v>
      </c>
      <c r="H18" s="26">
        <v>23000</v>
      </c>
      <c r="I18" s="26">
        <v>2000</v>
      </c>
      <c r="J18" s="28">
        <v>95000</v>
      </c>
      <c r="K18" s="21">
        <f t="shared" si="1"/>
        <v>2039300</v>
      </c>
    </row>
    <row r="19" spans="1:11" s="44" customFormat="1" ht="12.75">
      <c r="A19" s="23">
        <v>13</v>
      </c>
      <c r="B19" s="24" t="s">
        <v>25</v>
      </c>
      <c r="C19" s="25">
        <v>185400</v>
      </c>
      <c r="D19" s="43">
        <f>1000000-326300</f>
        <v>673700</v>
      </c>
      <c r="E19" s="26">
        <v>118000</v>
      </c>
      <c r="F19" s="26">
        <v>1300</v>
      </c>
      <c r="G19" s="27">
        <f t="shared" si="0"/>
        <v>119300</v>
      </c>
      <c r="H19" s="43">
        <v>23000</v>
      </c>
      <c r="I19" s="26">
        <v>2000</v>
      </c>
      <c r="J19" s="28">
        <v>95000</v>
      </c>
      <c r="K19" s="21">
        <f t="shared" si="1"/>
        <v>1098400</v>
      </c>
    </row>
    <row r="20" spans="1:11" s="46" customFormat="1" ht="25.5">
      <c r="A20" s="18" t="s">
        <v>26</v>
      </c>
      <c r="B20" s="45" t="s">
        <v>27</v>
      </c>
      <c r="C20" s="36">
        <f>ROUND(C17+C18+C19,2)</f>
        <v>1785400</v>
      </c>
      <c r="D20" s="36">
        <f aca="true" t="shared" si="5" ref="D20:J20">D17+D18+D19</f>
        <v>2673700</v>
      </c>
      <c r="E20" s="36">
        <f t="shared" si="5"/>
        <v>346000</v>
      </c>
      <c r="F20" s="36">
        <f t="shared" si="5"/>
        <v>11900</v>
      </c>
      <c r="G20" s="33">
        <f t="shared" si="0"/>
        <v>357900</v>
      </c>
      <c r="H20" s="36">
        <f t="shared" si="5"/>
        <v>69000</v>
      </c>
      <c r="I20" s="36">
        <f t="shared" si="5"/>
        <v>6000</v>
      </c>
      <c r="J20" s="37">
        <f t="shared" si="5"/>
        <v>285000</v>
      </c>
      <c r="K20" s="21">
        <f t="shared" si="1"/>
        <v>5177000</v>
      </c>
    </row>
    <row r="21" spans="1:11" s="46" customFormat="1" ht="25.5">
      <c r="A21" s="47" t="s">
        <v>28</v>
      </c>
      <c r="B21" s="48" t="s">
        <v>29</v>
      </c>
      <c r="C21" s="36">
        <f>ROUND(C16+C20,2)</f>
        <v>6755000</v>
      </c>
      <c r="D21" s="36">
        <f aca="true" t="shared" si="6" ref="D21:J21">ROUND(D16+D20,2)</f>
        <v>9494700</v>
      </c>
      <c r="E21" s="36">
        <f t="shared" si="6"/>
        <v>1029000</v>
      </c>
      <c r="F21" s="36">
        <f t="shared" si="6"/>
        <v>44000</v>
      </c>
      <c r="G21" s="36">
        <f t="shared" si="6"/>
        <v>1073000</v>
      </c>
      <c r="H21" s="36">
        <f t="shared" si="6"/>
        <v>264000</v>
      </c>
      <c r="I21" s="36">
        <f t="shared" si="6"/>
        <v>20000</v>
      </c>
      <c r="J21" s="36">
        <f t="shared" si="6"/>
        <v>852000</v>
      </c>
      <c r="K21" s="21">
        <f t="shared" si="1"/>
        <v>18458700</v>
      </c>
    </row>
    <row r="22" spans="1:11" s="44" customFormat="1" ht="12.75">
      <c r="A22" s="23">
        <v>16</v>
      </c>
      <c r="B22" s="24" t="s">
        <v>30</v>
      </c>
      <c r="C22" s="25">
        <v>0</v>
      </c>
      <c r="D22" s="49">
        <v>0</v>
      </c>
      <c r="E22" s="26">
        <v>105000</v>
      </c>
      <c r="F22" s="26">
        <v>0</v>
      </c>
      <c r="G22" s="27">
        <f t="shared" si="0"/>
        <v>105000</v>
      </c>
      <c r="H22" s="43">
        <v>2000</v>
      </c>
      <c r="I22" s="26">
        <v>2000</v>
      </c>
      <c r="J22" s="28">
        <v>88000</v>
      </c>
      <c r="K22" s="21">
        <f t="shared" si="1"/>
        <v>197000</v>
      </c>
    </row>
    <row r="23" spans="1:11" s="44" customFormat="1" ht="12.75">
      <c r="A23" s="23">
        <v>17</v>
      </c>
      <c r="B23" s="50" t="s">
        <v>31</v>
      </c>
      <c r="C23" s="43">
        <v>0</v>
      </c>
      <c r="D23" s="43">
        <v>0</v>
      </c>
      <c r="E23" s="43">
        <v>0</v>
      </c>
      <c r="F23" s="26">
        <v>0</v>
      </c>
      <c r="G23" s="27">
        <f t="shared" si="0"/>
        <v>0</v>
      </c>
      <c r="H23" s="43">
        <v>0</v>
      </c>
      <c r="I23" s="26">
        <v>2000</v>
      </c>
      <c r="J23" s="28">
        <v>0</v>
      </c>
      <c r="K23" s="21">
        <f t="shared" si="1"/>
        <v>2000</v>
      </c>
    </row>
    <row r="24" spans="1:11" s="44" customFormat="1" ht="12.75">
      <c r="A24" s="23">
        <v>18</v>
      </c>
      <c r="B24" s="50" t="s">
        <v>32</v>
      </c>
      <c r="C24" s="43">
        <v>0</v>
      </c>
      <c r="D24" s="43">
        <v>0</v>
      </c>
      <c r="E24" s="43">
        <v>0</v>
      </c>
      <c r="F24" s="26">
        <v>0</v>
      </c>
      <c r="G24" s="27">
        <f t="shared" si="0"/>
        <v>0</v>
      </c>
      <c r="H24" s="43">
        <v>0</v>
      </c>
      <c r="I24" s="43">
        <v>0</v>
      </c>
      <c r="J24" s="51">
        <v>0</v>
      </c>
      <c r="K24" s="21">
        <f t="shared" si="1"/>
        <v>0</v>
      </c>
    </row>
    <row r="25" spans="1:11" s="46" customFormat="1" ht="25.5">
      <c r="A25" s="52" t="s">
        <v>33</v>
      </c>
      <c r="B25" s="53" t="s">
        <v>34</v>
      </c>
      <c r="C25" s="54">
        <f>ROUND(C22+C23+C24,2)</f>
        <v>0</v>
      </c>
      <c r="D25" s="54">
        <f aca="true" t="shared" si="7" ref="D25:J25">ROUND(D22+D23+D24,2)</f>
        <v>0</v>
      </c>
      <c r="E25" s="54">
        <f t="shared" si="7"/>
        <v>105000</v>
      </c>
      <c r="F25" s="54">
        <f t="shared" si="7"/>
        <v>0</v>
      </c>
      <c r="G25" s="55">
        <f t="shared" si="0"/>
        <v>105000</v>
      </c>
      <c r="H25" s="54">
        <f t="shared" si="7"/>
        <v>2000</v>
      </c>
      <c r="I25" s="54">
        <f t="shared" si="7"/>
        <v>4000</v>
      </c>
      <c r="J25" s="56">
        <f t="shared" si="7"/>
        <v>88000</v>
      </c>
      <c r="K25" s="21">
        <f t="shared" si="1"/>
        <v>199000</v>
      </c>
    </row>
    <row r="26" spans="1:11" s="46" customFormat="1" ht="12.75">
      <c r="A26" s="52"/>
      <c r="B26" s="53" t="s">
        <v>35</v>
      </c>
      <c r="C26" s="54">
        <f>ROUND(C11+C15+C20+C25,2)</f>
        <v>6755000</v>
      </c>
      <c r="D26" s="54">
        <f aca="true" t="shared" si="8" ref="D26:J26">ROUND(D11+D15+D20+D25,2)</f>
        <v>9494700</v>
      </c>
      <c r="E26" s="54">
        <f t="shared" si="8"/>
        <v>1134000</v>
      </c>
      <c r="F26" s="54">
        <f t="shared" si="8"/>
        <v>44000</v>
      </c>
      <c r="G26" s="54">
        <f t="shared" si="8"/>
        <v>1178000</v>
      </c>
      <c r="H26" s="54">
        <f t="shared" si="8"/>
        <v>266000</v>
      </c>
      <c r="I26" s="54">
        <f t="shared" si="8"/>
        <v>24000</v>
      </c>
      <c r="J26" s="54">
        <f t="shared" si="8"/>
        <v>940000</v>
      </c>
      <c r="K26" s="21">
        <f t="shared" si="1"/>
        <v>18657700</v>
      </c>
    </row>
    <row r="27" spans="1:12" s="29" customFormat="1" ht="33.75" customHeight="1">
      <c r="A27" s="57" t="s">
        <v>51</v>
      </c>
      <c r="B27" s="58" t="s">
        <v>52</v>
      </c>
      <c r="C27" s="26">
        <f>ROUND(C8+C9+C10+C12+C13,2)</f>
        <v>3847435.72</v>
      </c>
      <c r="D27" s="26">
        <f aca="true" t="shared" si="9" ref="D27:K27">ROUND(D8+D9+D10+D12+D13,2)</f>
        <v>5013914.84</v>
      </c>
      <c r="E27" s="26">
        <f t="shared" si="9"/>
        <v>541166.39</v>
      </c>
      <c r="F27" s="26">
        <f t="shared" si="9"/>
        <v>25080</v>
      </c>
      <c r="G27" s="59">
        <f t="shared" si="9"/>
        <v>566246.39</v>
      </c>
      <c r="H27" s="26">
        <f t="shared" si="9"/>
        <v>89668.99</v>
      </c>
      <c r="I27" s="26">
        <f t="shared" si="9"/>
        <v>9330.3</v>
      </c>
      <c r="J27" s="26">
        <f t="shared" si="9"/>
        <v>478674.52</v>
      </c>
      <c r="K27" s="80">
        <f t="shared" si="9"/>
        <v>10005270.76</v>
      </c>
      <c r="L27" s="60"/>
    </row>
    <row r="28" spans="1:12" s="62" customFormat="1" ht="15.75" customHeight="1">
      <c r="A28" s="23" t="s">
        <v>36</v>
      </c>
      <c r="B28" s="61" t="s">
        <v>53</v>
      </c>
      <c r="C28" s="26">
        <f>ROUND(C7-C27,2)</f>
        <v>2907564.28</v>
      </c>
      <c r="D28" s="26">
        <f>ROUND(D7-D27,2)</f>
        <v>4480785.16</v>
      </c>
      <c r="E28" s="26">
        <f>ROUND(E7-E27,2)</f>
        <v>592833.61</v>
      </c>
      <c r="F28" s="26">
        <f>ROUND(F7-F27,2)</f>
        <v>18920</v>
      </c>
      <c r="G28" s="59">
        <f t="shared" si="0"/>
        <v>611753.61</v>
      </c>
      <c r="H28" s="26">
        <f>ROUND(H7-H27,2)</f>
        <v>176331.01</v>
      </c>
      <c r="I28" s="26">
        <f>ROUND(I7-I27,2)</f>
        <v>14669.7</v>
      </c>
      <c r="J28" s="26">
        <f>ROUND(J7-J27,2)</f>
        <v>461325.48</v>
      </c>
      <c r="K28" s="21">
        <f t="shared" si="1"/>
        <v>8652429.24</v>
      </c>
      <c r="L28" s="60"/>
    </row>
    <row r="29" spans="1:12" s="62" customFormat="1" ht="12.75">
      <c r="A29" s="81">
        <v>22</v>
      </c>
      <c r="B29" s="82" t="s">
        <v>54</v>
      </c>
      <c r="C29" s="83">
        <v>0</v>
      </c>
      <c r="D29" s="83">
        <v>0</v>
      </c>
      <c r="E29" s="83">
        <v>0</v>
      </c>
      <c r="F29" s="83">
        <v>0</v>
      </c>
      <c r="G29" s="84">
        <f t="shared" si="0"/>
        <v>0</v>
      </c>
      <c r="H29" s="83">
        <v>0</v>
      </c>
      <c r="I29" s="83">
        <v>0</v>
      </c>
      <c r="J29" s="83">
        <v>0</v>
      </c>
      <c r="K29" s="21">
        <f t="shared" si="1"/>
        <v>0</v>
      </c>
      <c r="L29" s="85"/>
    </row>
    <row r="30" spans="1:12" s="22" customFormat="1" ht="12.75">
      <c r="A30" s="23">
        <v>23</v>
      </c>
      <c r="B30" s="58" t="s">
        <v>37</v>
      </c>
      <c r="C30" s="26">
        <v>617170.43</v>
      </c>
      <c r="D30" s="26">
        <v>879492.31</v>
      </c>
      <c r="E30" s="26">
        <v>105033.8</v>
      </c>
      <c r="F30" s="26">
        <v>4110</v>
      </c>
      <c r="G30" s="59">
        <v>109143.8</v>
      </c>
      <c r="H30" s="26">
        <v>22206.82</v>
      </c>
      <c r="I30" s="26">
        <v>1388.44</v>
      </c>
      <c r="J30" s="26">
        <v>86990.75</v>
      </c>
      <c r="K30" s="21">
        <f t="shared" si="1"/>
        <v>1716392.55</v>
      </c>
      <c r="L30" s="60"/>
    </row>
    <row r="31" spans="1:12" s="22" customFormat="1" ht="25.5">
      <c r="A31" s="23" t="s">
        <v>38</v>
      </c>
      <c r="B31" s="58" t="s">
        <v>39</v>
      </c>
      <c r="C31" s="26">
        <f>ROUND(C27/5,2)</f>
        <v>769487.14</v>
      </c>
      <c r="D31" s="26">
        <f aca="true" t="shared" si="10" ref="D31:K31">ROUND(D27/5,2)</f>
        <v>1002782.97</v>
      </c>
      <c r="E31" s="26">
        <f t="shared" si="10"/>
        <v>108233.28</v>
      </c>
      <c r="F31" s="26">
        <f t="shared" si="10"/>
        <v>5016</v>
      </c>
      <c r="G31" s="59">
        <f t="shared" si="10"/>
        <v>113249.28</v>
      </c>
      <c r="H31" s="26">
        <f t="shared" si="10"/>
        <v>17933.8</v>
      </c>
      <c r="I31" s="26">
        <f t="shared" si="10"/>
        <v>1866.06</v>
      </c>
      <c r="J31" s="26">
        <f t="shared" si="10"/>
        <v>95734.9</v>
      </c>
      <c r="K31" s="80">
        <f t="shared" si="10"/>
        <v>2001054.15</v>
      </c>
      <c r="L31" s="60"/>
    </row>
    <row r="32" spans="1:12" s="22" customFormat="1" ht="38.25">
      <c r="A32" s="23" t="s">
        <v>40</v>
      </c>
      <c r="B32" s="58" t="s">
        <v>41</v>
      </c>
      <c r="C32" s="42">
        <f>ROUND(C31*12-C7,2)</f>
        <v>2478845.68</v>
      </c>
      <c r="D32" s="42">
        <f>ROUND(D31*12-D7,2)</f>
        <v>2538695.64</v>
      </c>
      <c r="E32" s="42">
        <f>ROUND(E31*12-E7,2)</f>
        <v>164799.36</v>
      </c>
      <c r="F32" s="42">
        <f>ROUND(F31*12-F7,2)</f>
        <v>16192</v>
      </c>
      <c r="G32" s="59">
        <f t="shared" si="0"/>
        <v>180991.36</v>
      </c>
      <c r="H32" s="42">
        <f>ROUND(H31*12-H7,2)</f>
        <v>-50794.4</v>
      </c>
      <c r="I32" s="42">
        <f>ROUND(I31*12-I7,2)</f>
        <v>-1607.28</v>
      </c>
      <c r="J32" s="42">
        <f>ROUND(J31*12-J7,2)</f>
        <v>208818.8</v>
      </c>
      <c r="K32" s="21">
        <f t="shared" si="1"/>
        <v>5354949.8</v>
      </c>
      <c r="L32" s="60"/>
    </row>
    <row r="33" spans="1:12" s="68" customFormat="1" ht="26.25" thickBot="1">
      <c r="A33" s="63" t="s">
        <v>42</v>
      </c>
      <c r="B33" s="64" t="s">
        <v>43</v>
      </c>
      <c r="C33" s="65">
        <f>ROUND(C7+C32,2)</f>
        <v>9233845.68</v>
      </c>
      <c r="D33" s="65">
        <f>ROUND(D7+D32,2)</f>
        <v>12033395.64</v>
      </c>
      <c r="E33" s="65">
        <f>ROUND(E7+E32,2)</f>
        <v>1298799.36</v>
      </c>
      <c r="F33" s="65">
        <f>ROUND(F7+F32,2)</f>
        <v>60192</v>
      </c>
      <c r="G33" s="65">
        <f t="shared" si="0"/>
        <v>1358991.36</v>
      </c>
      <c r="H33" s="65">
        <f>ROUND(H7+H32,2)</f>
        <v>215205.6</v>
      </c>
      <c r="I33" s="65">
        <f>ROUND(I7+I32,2)</f>
        <v>22392.72</v>
      </c>
      <c r="J33" s="65">
        <f>ROUND(J7+J32,2)</f>
        <v>1148818.8</v>
      </c>
      <c r="K33" s="66">
        <f t="shared" si="1"/>
        <v>24012649.8</v>
      </c>
      <c r="L33" s="67"/>
    </row>
    <row r="34" spans="1:12" s="44" customFormat="1" ht="12.75">
      <c r="A34" s="69"/>
      <c r="B34" s="70"/>
      <c r="C34" s="71"/>
      <c r="D34" s="71"/>
      <c r="E34" s="71"/>
      <c r="F34" s="71"/>
      <c r="G34" s="72"/>
      <c r="H34" s="71"/>
      <c r="I34" s="71"/>
      <c r="J34" s="71"/>
      <c r="K34" s="73"/>
      <c r="L34" s="60"/>
    </row>
    <row r="35" spans="1:12" s="44" customFormat="1" ht="12.75">
      <c r="A35" s="69"/>
      <c r="B35" s="70"/>
      <c r="C35" s="71"/>
      <c r="D35" s="71"/>
      <c r="E35" s="71"/>
      <c r="F35" s="71"/>
      <c r="G35" s="72"/>
      <c r="H35" s="71"/>
      <c r="I35" s="71"/>
      <c r="J35" s="71"/>
      <c r="K35" s="73"/>
      <c r="L35" s="60"/>
    </row>
    <row r="36" spans="1:12" s="44" customFormat="1" ht="12.75">
      <c r="A36" s="69"/>
      <c r="B36" s="70"/>
      <c r="C36" s="71"/>
      <c r="D36" s="71"/>
      <c r="E36" s="71"/>
      <c r="F36" s="71"/>
      <c r="G36" s="72"/>
      <c r="H36" s="71"/>
      <c r="I36" s="71"/>
      <c r="J36" s="71"/>
      <c r="K36" s="73"/>
      <c r="L36" s="60"/>
    </row>
    <row r="37" spans="3:7" ht="15.75">
      <c r="C37" s="74"/>
      <c r="G37" s="74"/>
    </row>
    <row r="38" spans="3:8" ht="15.75">
      <c r="C38" s="74"/>
      <c r="E38" s="75"/>
      <c r="F38" s="75"/>
      <c r="G38" s="74"/>
      <c r="H38" s="75"/>
    </row>
    <row r="39" spans="5:8" ht="15.75">
      <c r="E39" s="75"/>
      <c r="F39" s="75"/>
      <c r="G39" s="75"/>
      <c r="H39" s="74"/>
    </row>
    <row r="40" ht="15.75">
      <c r="E40" s="76"/>
    </row>
    <row r="41" spans="3:11" ht="15.75">
      <c r="C41" s="77"/>
      <c r="D41" s="77"/>
      <c r="E41" s="77"/>
      <c r="F41" s="77"/>
      <c r="G41" s="77"/>
      <c r="H41" s="77"/>
      <c r="I41" s="77"/>
      <c r="J41" s="77"/>
      <c r="K41" s="77"/>
    </row>
    <row r="42" spans="3:11" ht="15.75">
      <c r="C42" s="77"/>
      <c r="D42" s="77"/>
      <c r="E42" s="77"/>
      <c r="F42" s="77"/>
      <c r="G42" s="77"/>
      <c r="H42" s="77"/>
      <c r="I42" s="77"/>
      <c r="J42" s="77"/>
      <c r="K42" s="77"/>
    </row>
    <row r="43" spans="3:11" ht="15.75">
      <c r="C43" s="77"/>
      <c r="D43" s="77"/>
      <c r="E43" s="77"/>
      <c r="F43" s="77"/>
      <c r="G43" s="77"/>
      <c r="H43" s="77"/>
      <c r="I43" s="77"/>
      <c r="J43" s="77"/>
      <c r="K43" s="77"/>
    </row>
  </sheetData>
  <mergeCells count="2">
    <mergeCell ref="B2:K2"/>
    <mergeCell ref="B3:K3"/>
  </mergeCells>
  <printOptions/>
  <pageMargins left="0.18" right="0.14" top="0.37" bottom="0.36" header="0.21" footer="0.17"/>
  <pageSetup horizontalDpi="600" verticalDpi="600" orientation="landscape" scale="73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popa adriana</cp:lastModifiedBy>
  <cp:lastPrinted>2015-06-19T08:10:56Z</cp:lastPrinted>
  <dcterms:created xsi:type="dcterms:W3CDTF">2015-04-29T09:20:24Z</dcterms:created>
  <dcterms:modified xsi:type="dcterms:W3CDTF">2015-06-19T08:10:59Z</dcterms:modified>
  <cp:category/>
  <cp:version/>
  <cp:contentType/>
  <cp:contentStatus/>
</cp:coreProperties>
</file>